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185" windowHeight="11055" activeTab="0"/>
  </bookViews>
  <sheets>
    <sheet name="Termika" sheetId="1" r:id="rId1"/>
    <sheet name="Vzdálenost" sheetId="2" r:id="rId2"/>
    <sheet name="Rychlost" sheetId="3" r:id="rId3"/>
  </sheets>
  <definedNames/>
  <calcPr fullCalcOnLoad="1"/>
</workbook>
</file>

<file path=xl/sharedStrings.xml><?xml version="1.0" encoding="utf-8"?>
<sst xmlns="http://schemas.openxmlformats.org/spreadsheetml/2006/main" count="138" uniqueCount="88">
  <si>
    <t>Jmeno</t>
  </si>
  <si>
    <t>Let 1</t>
  </si>
  <si>
    <t>Let 2</t>
  </si>
  <si>
    <t>Let 3</t>
  </si>
  <si>
    <t>Let 5</t>
  </si>
  <si>
    <t>Let 1 body</t>
  </si>
  <si>
    <t>Let 3 body</t>
  </si>
  <si>
    <t>Let 5 body</t>
  </si>
  <si>
    <t>Pavel Strnad</t>
  </si>
  <si>
    <t>Soucet</t>
  </si>
  <si>
    <t>Let 2 body</t>
  </si>
  <si>
    <t>Petr Matura</t>
  </si>
  <si>
    <t>Jan Thienel</t>
  </si>
  <si>
    <t>Jiří Tůma</t>
  </si>
  <si>
    <t>Václav Vojtíšek</t>
  </si>
  <si>
    <t>Zdeněk Zeman</t>
  </si>
  <si>
    <t>Ivan Šanda</t>
  </si>
  <si>
    <t>Michal Michna</t>
  </si>
  <si>
    <t>Miroslav Blažek</t>
  </si>
  <si>
    <t>Jiří Mrvík</t>
  </si>
  <si>
    <t>Iva Baďurová</t>
  </si>
  <si>
    <t>Ivo Matějů</t>
  </si>
  <si>
    <t>František Sobotka</t>
  </si>
  <si>
    <t>Milan Baďura</t>
  </si>
  <si>
    <t>Jiří Pazdera</t>
  </si>
  <si>
    <t>Roman Vojtěch</t>
  </si>
  <si>
    <t>Let 4/2</t>
  </si>
  <si>
    <t>Let 4/2 body</t>
  </si>
  <si>
    <t>Let F</t>
  </si>
  <si>
    <t>Let F body</t>
  </si>
  <si>
    <t>Termika</t>
  </si>
  <si>
    <t>Vzdálenost</t>
  </si>
  <si>
    <t>Petr Hulík</t>
  </si>
  <si>
    <t>Thomas Dylla</t>
  </si>
  <si>
    <t>1. kolo</t>
  </si>
  <si>
    <t>2. kolo</t>
  </si>
  <si>
    <t>3. kolo</t>
  </si>
  <si>
    <t>4. kolo</t>
  </si>
  <si>
    <t>Součet</t>
  </si>
  <si>
    <t>Rychlost</t>
  </si>
  <si>
    <t>Let 4</t>
  </si>
  <si>
    <t>Let 4 body</t>
  </si>
  <si>
    <t xml:space="preserve"> </t>
  </si>
  <si>
    <t>CZE 11-70</t>
  </si>
  <si>
    <t>CZE 416-77</t>
  </si>
  <si>
    <t>CZE 247-17</t>
  </si>
  <si>
    <t>CZE  43-10</t>
  </si>
  <si>
    <t>CZE  43-04</t>
  </si>
  <si>
    <t>CZE  94-13</t>
  </si>
  <si>
    <t>CZE 442-02</t>
  </si>
  <si>
    <t>CZE  71-111</t>
  </si>
  <si>
    <t>CZE 243-02</t>
  </si>
  <si>
    <t>CZE 442-16</t>
  </si>
  <si>
    <t>CZE 458-01</t>
  </si>
  <si>
    <t>CZE 433-17</t>
  </si>
  <si>
    <t>CZE 243-19</t>
  </si>
  <si>
    <t>CZE 71-250</t>
  </si>
  <si>
    <t>CZE 213-22</t>
  </si>
  <si>
    <t>CZE  74-21</t>
  </si>
  <si>
    <t>CZE 204-01</t>
  </si>
  <si>
    <t>CZE 204-50</t>
  </si>
  <si>
    <t>Michal Behensky</t>
  </si>
  <si>
    <t>Pořadí</t>
  </si>
  <si>
    <t>1.</t>
  </si>
  <si>
    <t>2.</t>
  </si>
  <si>
    <t>3.</t>
  </si>
  <si>
    <t>4.</t>
  </si>
  <si>
    <t>5.</t>
  </si>
  <si>
    <t>6.</t>
  </si>
  <si>
    <t>Umístění</t>
  </si>
  <si>
    <t xml:space="preserve">          1.</t>
  </si>
  <si>
    <t xml:space="preserve">          2.</t>
  </si>
  <si>
    <t xml:space="preserve">          3.</t>
  </si>
  <si>
    <t xml:space="preserve">          4.</t>
  </si>
  <si>
    <t xml:space="preserve">          5.</t>
  </si>
  <si>
    <t xml:space="preserve">          6.</t>
  </si>
  <si>
    <t xml:space="preserve">          7. </t>
  </si>
  <si>
    <t xml:space="preserve">          8.</t>
  </si>
  <si>
    <t xml:space="preserve">          9.</t>
  </si>
  <si>
    <t xml:space="preserve">         10.</t>
  </si>
  <si>
    <t xml:space="preserve">         11.</t>
  </si>
  <si>
    <t xml:space="preserve">         12.</t>
  </si>
  <si>
    <t xml:space="preserve">         13.</t>
  </si>
  <si>
    <t xml:space="preserve">         14.</t>
  </si>
  <si>
    <t xml:space="preserve">         15.</t>
  </si>
  <si>
    <t xml:space="preserve">         16.</t>
  </si>
  <si>
    <t xml:space="preserve">         17.</t>
  </si>
  <si>
    <t xml:space="preserve">         18.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</si>
</sst>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2" fontId="0" fillId="0" borderId="7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A23" sqref="A23"/>
    </sheetView>
  </sheetViews>
  <sheetFormatPr defaultColWidth="9.140625" defaultRowHeight="12.75"/>
  <cols>
    <col min="2" max="3" width="18.00390625" style="0" customWidth="1"/>
    <col min="4" max="4" width="8.57421875" style="0" customWidth="1"/>
    <col min="5" max="5" width="10.57421875" style="0" customWidth="1"/>
    <col min="7" max="7" width="11.00390625" style="0" customWidth="1"/>
    <col min="8" max="8" width="9.140625" style="0" hidden="1" customWidth="1"/>
    <col min="10" max="10" width="10.28125" style="0" customWidth="1"/>
    <col min="11" max="11" width="9.140625" style="0" hidden="1" customWidth="1"/>
    <col min="14" max="14" width="11.7109375" style="0" hidden="1" customWidth="1"/>
    <col min="15" max="15" width="14.00390625" style="0" hidden="1" customWidth="1"/>
    <col min="16" max="16" width="9.140625" style="0" hidden="1" customWidth="1"/>
    <col min="18" max="18" width="10.8515625" style="0" customWidth="1"/>
    <col min="19" max="19" width="9.140625" style="0" hidden="1" customWidth="1"/>
    <col min="21" max="21" width="11.421875" style="0" customWidth="1"/>
  </cols>
  <sheetData>
    <row r="1" spans="2:3" ht="12.75">
      <c r="B1" s="2" t="s">
        <v>30</v>
      </c>
      <c r="C1" s="2"/>
    </row>
    <row r="2" spans="1:22" ht="12.75">
      <c r="A2" t="s">
        <v>69</v>
      </c>
      <c r="B2" s="2" t="s">
        <v>0</v>
      </c>
      <c r="C2" s="2"/>
      <c r="D2" s="3" t="s">
        <v>1</v>
      </c>
      <c r="E2" s="4" t="s">
        <v>5</v>
      </c>
      <c r="F2" s="3" t="s">
        <v>2</v>
      </c>
      <c r="G2" s="4" t="s">
        <v>10</v>
      </c>
      <c r="H2" s="2" t="s">
        <v>9</v>
      </c>
      <c r="I2" s="3" t="s">
        <v>3</v>
      </c>
      <c r="J2" s="4" t="s">
        <v>6</v>
      </c>
      <c r="K2" s="2" t="s">
        <v>9</v>
      </c>
      <c r="L2" s="3" t="s">
        <v>40</v>
      </c>
      <c r="M2" s="7" t="s">
        <v>41</v>
      </c>
      <c r="N2" s="6" t="s">
        <v>26</v>
      </c>
      <c r="O2" s="4" t="s">
        <v>27</v>
      </c>
      <c r="P2" s="2" t="s">
        <v>9</v>
      </c>
      <c r="Q2" s="3" t="s">
        <v>4</v>
      </c>
      <c r="R2" s="4" t="s">
        <v>7</v>
      </c>
      <c r="S2" s="2" t="s">
        <v>9</v>
      </c>
      <c r="T2" s="3" t="s">
        <v>28</v>
      </c>
      <c r="U2" s="4" t="s">
        <v>29</v>
      </c>
      <c r="V2" s="2" t="s">
        <v>9</v>
      </c>
    </row>
    <row r="3" ht="12.75">
      <c r="E3" s="1"/>
    </row>
    <row r="4" spans="1:22" ht="12.75">
      <c r="A4" t="s">
        <v>70</v>
      </c>
      <c r="B4" t="s">
        <v>32</v>
      </c>
      <c r="C4" t="s">
        <v>44</v>
      </c>
      <c r="D4" s="5">
        <f>10*60+95</f>
        <v>695</v>
      </c>
      <c r="E4" s="1">
        <v>1000</v>
      </c>
      <c r="F4" s="5">
        <f>9*60+1+100</f>
        <v>641</v>
      </c>
      <c r="G4" s="1">
        <v>980.1223241590214</v>
      </c>
      <c r="H4" s="1">
        <v>1980.1223241590214</v>
      </c>
      <c r="I4" s="5">
        <f>8*60+9+95</f>
        <v>584</v>
      </c>
      <c r="J4" s="1">
        <v>1000</v>
      </c>
      <c r="K4" s="1">
        <v>2980.1223241590214</v>
      </c>
      <c r="L4" s="5">
        <f>9*60+59+95</f>
        <v>694</v>
      </c>
      <c r="M4" s="1">
        <v>992.8469241773963</v>
      </c>
      <c r="P4" s="1">
        <v>3972.969248336418</v>
      </c>
      <c r="Q4" s="5">
        <f>9*60+37+95</f>
        <v>672</v>
      </c>
      <c r="R4" s="1">
        <v>973.9130434782609</v>
      </c>
      <c r="S4" s="1">
        <v>4946.882291814679</v>
      </c>
      <c r="T4">
        <f>10*60+95</f>
        <v>695</v>
      </c>
      <c r="U4" s="1">
        <v>1000</v>
      </c>
      <c r="V4" s="1">
        <f aca="true" t="shared" si="0" ref="V4:V9">U4+S4</f>
        <v>5946.882291814679</v>
      </c>
    </row>
    <row r="5" spans="1:22" ht="12.75">
      <c r="A5" t="s">
        <v>71</v>
      </c>
      <c r="B5" t="s">
        <v>17</v>
      </c>
      <c r="C5" t="s">
        <v>45</v>
      </c>
      <c r="D5" s="5">
        <f>9*60+58+95</f>
        <v>693</v>
      </c>
      <c r="E5" s="1">
        <v>997.1223021582733</v>
      </c>
      <c r="F5" s="5">
        <f>9*60+29+85</f>
        <v>654</v>
      </c>
      <c r="G5" s="1">
        <v>1000</v>
      </c>
      <c r="H5" s="1">
        <v>1997.1223021582732</v>
      </c>
      <c r="I5" s="5">
        <f>4*60+49+95</f>
        <v>384</v>
      </c>
      <c r="J5" s="1">
        <v>657.5342465753424</v>
      </c>
      <c r="K5" s="1">
        <v>2654.6565487336156</v>
      </c>
      <c r="L5" s="5">
        <f>9*60+58+95</f>
        <v>693</v>
      </c>
      <c r="M5" s="1">
        <v>991.4163090128756</v>
      </c>
      <c r="P5" s="1">
        <v>3646.072857746491</v>
      </c>
      <c r="Q5" s="5">
        <f>9*60+58+90</f>
        <v>688</v>
      </c>
      <c r="R5" s="1">
        <v>991.3544668587896</v>
      </c>
      <c r="S5" s="1">
        <v>4637.427324605281</v>
      </c>
      <c r="T5">
        <f>9*60+54+100</f>
        <v>694</v>
      </c>
      <c r="U5" s="1">
        <v>998.5611510791367</v>
      </c>
      <c r="V5" s="1">
        <f t="shared" si="0"/>
        <v>5635.988475684418</v>
      </c>
    </row>
    <row r="6" spans="1:22" ht="12.75">
      <c r="A6" t="s">
        <v>72</v>
      </c>
      <c r="B6" t="s">
        <v>25</v>
      </c>
      <c r="C6" t="s">
        <v>46</v>
      </c>
      <c r="D6">
        <v>446</v>
      </c>
      <c r="E6" s="1">
        <v>638.0543633762518</v>
      </c>
      <c r="F6" s="5">
        <f>9*60+58+100</f>
        <v>698</v>
      </c>
      <c r="G6" s="1">
        <v>1000</v>
      </c>
      <c r="H6" s="1">
        <v>1638.0543633762518</v>
      </c>
      <c r="I6" s="5">
        <f>10*60+100</f>
        <v>700</v>
      </c>
      <c r="J6" s="1">
        <v>1000</v>
      </c>
      <c r="K6" s="1">
        <v>2638.054363376252</v>
      </c>
      <c r="L6" s="5">
        <f>9*60+54+100</f>
        <v>694</v>
      </c>
      <c r="M6" s="1">
        <v>1000</v>
      </c>
      <c r="N6" s="5">
        <v>0</v>
      </c>
      <c r="O6" s="1" t="e">
        <f>N6/$N$22*1000</f>
        <v>#DIV/0!</v>
      </c>
      <c r="P6" s="1">
        <v>3638.054363376252</v>
      </c>
      <c r="Q6" s="5">
        <f>10*60-1+95</f>
        <v>694</v>
      </c>
      <c r="R6" s="1">
        <v>1000</v>
      </c>
      <c r="S6" s="1">
        <v>4638.054363376252</v>
      </c>
      <c r="T6">
        <f>9*60+54+95</f>
        <v>689</v>
      </c>
      <c r="U6" s="1">
        <v>991.3669064748202</v>
      </c>
      <c r="V6" s="1">
        <f t="shared" si="0"/>
        <v>5629.421269851072</v>
      </c>
    </row>
    <row r="7" spans="1:22" ht="12.75">
      <c r="A7" t="s">
        <v>73</v>
      </c>
      <c r="B7" t="s">
        <v>19</v>
      </c>
      <c r="C7" t="s">
        <v>47</v>
      </c>
      <c r="D7">
        <v>699</v>
      </c>
      <c r="E7" s="1">
        <v>1000</v>
      </c>
      <c r="F7" s="5">
        <f>7*60+32+85</f>
        <v>537</v>
      </c>
      <c r="G7" s="1">
        <v>821.1009174311927</v>
      </c>
      <c r="H7" s="1">
        <v>1821.1009174311926</v>
      </c>
      <c r="I7" s="5">
        <f>600+90</f>
        <v>690</v>
      </c>
      <c r="J7" s="1">
        <v>991.3793103448277</v>
      </c>
      <c r="K7" s="1">
        <v>2812.48022777602</v>
      </c>
      <c r="L7" s="5">
        <f>9*60+54+95</f>
        <v>689</v>
      </c>
      <c r="M7" s="1">
        <v>985.6938483547925</v>
      </c>
      <c r="P7" s="1">
        <v>3798.1740761308124</v>
      </c>
      <c r="Q7" s="5">
        <f>10*60+90</f>
        <v>690</v>
      </c>
      <c r="R7" s="1">
        <v>1000</v>
      </c>
      <c r="S7" s="1">
        <v>4798.174076130812</v>
      </c>
      <c r="T7">
        <f>5*60+23+95</f>
        <v>418</v>
      </c>
      <c r="U7" s="1">
        <v>601.4388489208633</v>
      </c>
      <c r="V7" s="1">
        <f t="shared" si="0"/>
        <v>5399.612925051675</v>
      </c>
    </row>
    <row r="8" spans="1:22" ht="12.75">
      <c r="A8" t="s">
        <v>74</v>
      </c>
      <c r="B8" t="s">
        <v>18</v>
      </c>
      <c r="C8" t="s">
        <v>48</v>
      </c>
      <c r="D8" s="5">
        <f>9*60+50+100</f>
        <v>690</v>
      </c>
      <c r="E8" s="1">
        <v>987.1244635193133</v>
      </c>
      <c r="F8" s="5">
        <f>60*9+49+75</f>
        <v>664</v>
      </c>
      <c r="G8" s="1">
        <v>963.7155297532656</v>
      </c>
      <c r="H8" s="1">
        <v>1950.8399932725788</v>
      </c>
      <c r="I8" s="5">
        <f>7*60+15+100</f>
        <v>535</v>
      </c>
      <c r="J8" s="1">
        <v>916.095890410959</v>
      </c>
      <c r="K8" s="1">
        <v>2866.9358836835377</v>
      </c>
      <c r="L8" s="5">
        <f>9*60+50+65</f>
        <v>655</v>
      </c>
      <c r="M8" s="1">
        <v>937.0529327610873</v>
      </c>
      <c r="P8" s="1">
        <v>3803.9888164446247</v>
      </c>
      <c r="Q8" s="5">
        <f>9*60+4+55</f>
        <v>599</v>
      </c>
      <c r="R8" s="1">
        <v>868.1159420289855</v>
      </c>
      <c r="S8" s="1">
        <v>4672.10475847361</v>
      </c>
      <c r="T8">
        <f>7*60+23+40</f>
        <v>483</v>
      </c>
      <c r="U8" s="1">
        <v>694.9640287769784</v>
      </c>
      <c r="V8" s="1">
        <f t="shared" si="0"/>
        <v>5367.068787250588</v>
      </c>
    </row>
    <row r="9" spans="1:22" ht="12.75">
      <c r="A9" t="s">
        <v>75</v>
      </c>
      <c r="B9" t="s">
        <v>24</v>
      </c>
      <c r="C9" t="s">
        <v>49</v>
      </c>
      <c r="D9" s="5">
        <f>10*60-1+95</f>
        <v>694</v>
      </c>
      <c r="E9" s="1">
        <v>998.5611510791367</v>
      </c>
      <c r="F9" s="5">
        <f>7*60+40+100</f>
        <v>560</v>
      </c>
      <c r="G9" s="1">
        <v>856.2691131498472</v>
      </c>
      <c r="H9" s="1">
        <v>1854.8302642289839</v>
      </c>
      <c r="I9" s="5">
        <f>10*60-2+90</f>
        <v>688</v>
      </c>
      <c r="J9" s="1">
        <v>988.5057471264367</v>
      </c>
      <c r="K9" s="1">
        <v>2843.336011355421</v>
      </c>
      <c r="L9" s="5">
        <f>10*60-1+100</f>
        <v>699</v>
      </c>
      <c r="M9" s="1">
        <v>1000</v>
      </c>
      <c r="P9" s="1">
        <v>3843.336011355421</v>
      </c>
      <c r="Q9" s="5">
        <f>8*60+41+95</f>
        <v>616</v>
      </c>
      <c r="R9" s="1">
        <v>892.7536231884058</v>
      </c>
      <c r="S9" s="1">
        <v>4736.089634543827</v>
      </c>
      <c r="T9">
        <f>7*60+8+0</f>
        <v>428</v>
      </c>
      <c r="U9" s="1">
        <v>615.8273381294964</v>
      </c>
      <c r="V9" s="1">
        <f t="shared" si="0"/>
        <v>5351.9169726733235</v>
      </c>
    </row>
    <row r="11" spans="1:22" ht="12.75">
      <c r="A11" t="s">
        <v>76</v>
      </c>
      <c r="B11" t="s">
        <v>13</v>
      </c>
      <c r="C11" t="s">
        <v>50</v>
      </c>
      <c r="D11">
        <v>570</v>
      </c>
      <c r="E11" s="1">
        <v>815.4506437768241</v>
      </c>
      <c r="F11" s="5">
        <f>9*60+55+75</f>
        <v>670</v>
      </c>
      <c r="G11" s="1">
        <v>959.8853868194842</v>
      </c>
      <c r="H11" s="1">
        <v>1775.3360305963083</v>
      </c>
      <c r="I11" s="5">
        <f>9*60+56+100</f>
        <v>696</v>
      </c>
      <c r="J11" s="1">
        <v>1000</v>
      </c>
      <c r="K11" s="1">
        <v>2775.3360305963083</v>
      </c>
      <c r="L11" s="5">
        <f>10*60-1+100</f>
        <v>699</v>
      </c>
      <c r="M11" s="1">
        <v>1000</v>
      </c>
      <c r="P11" s="1">
        <v>3775.3360305963083</v>
      </c>
      <c r="Q11" s="5">
        <f>6*60+53+0</f>
        <v>413</v>
      </c>
      <c r="R11" s="1">
        <v>598.5507246376811</v>
      </c>
      <c r="S11" s="1">
        <v>4373.88675523399</v>
      </c>
      <c r="T11">
        <f>9*60+58+100</f>
        <v>698</v>
      </c>
      <c r="U11" s="1">
        <v>1000</v>
      </c>
      <c r="V11" s="1">
        <f aca="true" t="shared" si="1" ref="V11:V16">U11+S11</f>
        <v>5373.88675523399</v>
      </c>
    </row>
    <row r="12" spans="1:22" ht="12.75">
      <c r="A12" t="s">
        <v>77</v>
      </c>
      <c r="B12" t="s">
        <v>21</v>
      </c>
      <c r="C12" t="s">
        <v>51</v>
      </c>
      <c r="D12" s="5">
        <f>10*60-1+85</f>
        <v>684</v>
      </c>
      <c r="E12" s="1">
        <v>978.5407725321888</v>
      </c>
      <c r="F12" s="5">
        <f>9*60+16+80</f>
        <v>636</v>
      </c>
      <c r="G12" s="1">
        <v>923.0769230769231</v>
      </c>
      <c r="H12" s="1">
        <v>1901.617695609112</v>
      </c>
      <c r="I12" s="5">
        <f>8*60+18+80</f>
        <v>578</v>
      </c>
      <c r="J12" s="1">
        <v>989.7260273972603</v>
      </c>
      <c r="K12" s="1">
        <v>2891.3437230063723</v>
      </c>
      <c r="L12" s="5">
        <f>9*60+52+95</f>
        <v>687</v>
      </c>
      <c r="M12" s="1">
        <v>982.832618025751</v>
      </c>
      <c r="P12" s="1">
        <v>3874.176341032123</v>
      </c>
      <c r="Q12" s="5">
        <f>6*60+47+95</f>
        <v>502</v>
      </c>
      <c r="R12" s="1">
        <v>727.5362318840579</v>
      </c>
      <c r="S12" s="1">
        <v>4601.712572916181</v>
      </c>
      <c r="T12">
        <f>3*60+53+95</f>
        <v>328</v>
      </c>
      <c r="U12" s="1">
        <v>469.91404011461316</v>
      </c>
      <c r="V12" s="1">
        <f t="shared" si="1"/>
        <v>5071.626613030794</v>
      </c>
    </row>
    <row r="13" spans="1:22" ht="12.75">
      <c r="A13" t="s">
        <v>78</v>
      </c>
      <c r="B13" t="s">
        <v>15</v>
      </c>
      <c r="C13" t="s">
        <v>52</v>
      </c>
      <c r="D13" s="5">
        <f>10*60-1+100</f>
        <v>699</v>
      </c>
      <c r="E13" s="1">
        <v>1000</v>
      </c>
      <c r="F13" s="5">
        <f>7*60+4+100</f>
        <v>524</v>
      </c>
      <c r="G13" s="1">
        <v>801.2232415902141</v>
      </c>
      <c r="H13" s="1">
        <v>1801.223241590214</v>
      </c>
      <c r="I13" s="5">
        <f>6*60+38+0</f>
        <v>398</v>
      </c>
      <c r="J13" s="1">
        <v>571.8390804597701</v>
      </c>
      <c r="K13" s="1">
        <v>2373.0623220499842</v>
      </c>
      <c r="L13" s="5">
        <f>9*60+59+95</f>
        <v>694</v>
      </c>
      <c r="M13" s="1">
        <v>1000</v>
      </c>
      <c r="N13" s="5">
        <f>10*60+100</f>
        <v>700</v>
      </c>
      <c r="O13" s="1" t="e">
        <f>N13/$N$22*1000</f>
        <v>#DIV/0!</v>
      </c>
      <c r="P13" s="1">
        <v>3373.0623220499842</v>
      </c>
      <c r="Q13">
        <f>6*60+13+90</f>
        <v>463</v>
      </c>
      <c r="R13" s="1">
        <v>671.9883889695211</v>
      </c>
      <c r="S13" s="1">
        <v>4045.0507110195053</v>
      </c>
      <c r="T13">
        <f>9*60+59+90</f>
        <v>689</v>
      </c>
      <c r="U13" s="1">
        <v>987.1060171919771</v>
      </c>
      <c r="V13" s="1">
        <f t="shared" si="1"/>
        <v>5032.156728211483</v>
      </c>
    </row>
    <row r="14" spans="1:22" ht="12.75">
      <c r="A14" t="s">
        <v>79</v>
      </c>
      <c r="B14" t="s">
        <v>14</v>
      </c>
      <c r="C14" t="s">
        <v>53</v>
      </c>
      <c r="D14">
        <v>496</v>
      </c>
      <c r="E14" s="1">
        <v>709.5851216022891</v>
      </c>
      <c r="F14" s="5">
        <f>10*60+60</f>
        <v>660</v>
      </c>
      <c r="G14" s="1">
        <v>945.5587392550143</v>
      </c>
      <c r="H14" s="1">
        <v>1655.1438608573035</v>
      </c>
      <c r="I14" s="5">
        <f>9*60+59+100</f>
        <v>699</v>
      </c>
      <c r="J14" s="1">
        <v>998.5714285714286</v>
      </c>
      <c r="K14" s="1">
        <v>2653.715289428732</v>
      </c>
      <c r="L14" s="5">
        <f>9*60+59+95</f>
        <v>694</v>
      </c>
      <c r="M14" s="1">
        <v>992.8469241773963</v>
      </c>
      <c r="P14" s="1">
        <v>3646.5622136061284</v>
      </c>
      <c r="Q14" s="5">
        <f>4*60+13+90</f>
        <v>343</v>
      </c>
      <c r="R14" s="1">
        <v>494.23631123919307</v>
      </c>
      <c r="S14" s="1">
        <v>4140.7985248453215</v>
      </c>
      <c r="T14">
        <f>8*60+2+100</f>
        <v>582</v>
      </c>
      <c r="U14" s="1">
        <v>833.810888252149</v>
      </c>
      <c r="V14" s="1">
        <f t="shared" si="1"/>
        <v>4974.609413097471</v>
      </c>
    </row>
    <row r="15" spans="1:22" ht="12.75">
      <c r="A15" t="s">
        <v>80</v>
      </c>
      <c r="B15" t="s">
        <v>16</v>
      </c>
      <c r="C15" t="s">
        <v>54</v>
      </c>
      <c r="D15" s="5">
        <f>9*60+58+90</f>
        <v>688</v>
      </c>
      <c r="E15" s="1">
        <v>989.9280575539568</v>
      </c>
      <c r="F15" s="5">
        <f>9*60+58+55</f>
        <v>653</v>
      </c>
      <c r="G15" s="1">
        <v>947.7503628447025</v>
      </c>
      <c r="H15" s="1">
        <v>1937.6784203986595</v>
      </c>
      <c r="I15" s="5">
        <f>3*60+56+95</f>
        <v>331</v>
      </c>
      <c r="J15" s="1">
        <v>566.7808219178082</v>
      </c>
      <c r="K15" s="1">
        <v>2504.4592423164677</v>
      </c>
      <c r="L15" s="5">
        <f>8*60+21+90</f>
        <v>591</v>
      </c>
      <c r="M15" s="1">
        <v>851.5850144092218</v>
      </c>
      <c r="N15" s="5">
        <v>0</v>
      </c>
      <c r="O15" s="1" t="e">
        <f>N15/$N$22*1000</f>
        <v>#DIV/0!</v>
      </c>
      <c r="P15" s="1">
        <v>3356.0442567256896</v>
      </c>
      <c r="Q15" s="5">
        <f>9*60+35+100</f>
        <v>675</v>
      </c>
      <c r="R15" s="1">
        <v>979.6806966618287</v>
      </c>
      <c r="S15" s="1">
        <v>4335.724953387518</v>
      </c>
      <c r="T15">
        <f>5*60+9+75</f>
        <v>384</v>
      </c>
      <c r="U15" s="1">
        <v>550.1432664756447</v>
      </c>
      <c r="V15" s="1">
        <f t="shared" si="1"/>
        <v>4885.868219863163</v>
      </c>
    </row>
    <row r="16" spans="1:22" ht="12.75">
      <c r="A16" t="s">
        <v>81</v>
      </c>
      <c r="B16" t="s">
        <v>8</v>
      </c>
      <c r="C16" t="s">
        <v>55</v>
      </c>
      <c r="D16" s="5">
        <f>9*60+58+95</f>
        <v>693</v>
      </c>
      <c r="E16" s="1">
        <v>997.1223021582733</v>
      </c>
      <c r="F16" s="5">
        <f>5*60+42+90</f>
        <v>432</v>
      </c>
      <c r="G16" s="1">
        <v>660.5504587155964</v>
      </c>
      <c r="H16" s="1">
        <v>1657.6727608738697</v>
      </c>
      <c r="I16" s="5">
        <f>10*60-3+90</f>
        <v>687</v>
      </c>
      <c r="J16" s="1">
        <v>981.4285714285714</v>
      </c>
      <c r="K16" s="1">
        <v>2639.1013323024413</v>
      </c>
      <c r="L16" s="5">
        <f>6*60+57+0</f>
        <v>417</v>
      </c>
      <c r="M16" s="1">
        <v>596.5665236051502</v>
      </c>
      <c r="P16" s="1">
        <v>3235.6678559075917</v>
      </c>
      <c r="Q16" s="5">
        <f>9*60+59+90</f>
        <v>689</v>
      </c>
      <c r="R16" s="1">
        <v>1000</v>
      </c>
      <c r="S16" s="1">
        <v>4235.667855907592</v>
      </c>
      <c r="T16">
        <f>6*60+90</f>
        <v>450</v>
      </c>
      <c r="U16" s="1">
        <v>644.6991404011462</v>
      </c>
      <c r="V16" s="1">
        <f t="shared" si="1"/>
        <v>4880.366996308738</v>
      </c>
    </row>
    <row r="17" ht="12.75">
      <c r="V17" s="1"/>
    </row>
    <row r="18" spans="1:22" ht="12.75">
      <c r="A18" t="s">
        <v>82</v>
      </c>
      <c r="B18" t="s">
        <v>22</v>
      </c>
      <c r="C18" t="s">
        <v>56</v>
      </c>
      <c r="D18" s="5">
        <f>9*60+3+70</f>
        <v>613</v>
      </c>
      <c r="E18" s="1">
        <v>876.9670958512161</v>
      </c>
      <c r="F18" s="5">
        <f>60*9+40+0</f>
        <v>580</v>
      </c>
      <c r="G18" s="1">
        <v>841.799709724238</v>
      </c>
      <c r="H18" s="1">
        <v>1718.766805575454</v>
      </c>
      <c r="I18" s="5">
        <f>9*60+58+95</f>
        <v>693</v>
      </c>
      <c r="J18" s="1">
        <v>995.6896551724138</v>
      </c>
      <c r="K18" s="1">
        <v>2714.456460747868</v>
      </c>
      <c r="L18" s="5">
        <f>9*60+53+85</f>
        <v>678</v>
      </c>
      <c r="M18" s="1">
        <v>969.9570815450643</v>
      </c>
      <c r="P18" s="1">
        <v>3684.413542292932</v>
      </c>
      <c r="Q18" s="5">
        <f>1*60+42</f>
        <v>102</v>
      </c>
      <c r="R18" s="1">
        <v>146.97406340057637</v>
      </c>
      <c r="S18" s="1">
        <v>3831.3876056935087</v>
      </c>
      <c r="T18">
        <f>9*60+40+85</f>
        <v>665</v>
      </c>
      <c r="U18" s="1">
        <v>954.0889526542325</v>
      </c>
      <c r="V18" s="1">
        <f aca="true" t="shared" si="2" ref="V18:V23">U18+S18</f>
        <v>4785.476558347741</v>
      </c>
    </row>
    <row r="19" spans="1:22" ht="12.75">
      <c r="A19" t="s">
        <v>83</v>
      </c>
      <c r="B19" t="s">
        <v>12</v>
      </c>
      <c r="C19" t="s">
        <v>57</v>
      </c>
      <c r="D19" s="5">
        <f>10*60+95</f>
        <v>695</v>
      </c>
      <c r="E19" s="1">
        <v>994.277539341917</v>
      </c>
      <c r="F19" s="5">
        <f>9*60+3+65</f>
        <v>608</v>
      </c>
      <c r="G19" s="1">
        <v>882.4383164005806</v>
      </c>
      <c r="H19" s="1">
        <v>1876.7158557424975</v>
      </c>
      <c r="I19" s="5">
        <f>10*60-4+100</f>
        <v>696</v>
      </c>
      <c r="J19" s="1">
        <v>1000</v>
      </c>
      <c r="K19" s="1">
        <v>2876.7158557424973</v>
      </c>
      <c r="L19" s="5">
        <f>6*60+52+95</f>
        <v>507</v>
      </c>
      <c r="M19" s="1">
        <v>725.3218884120172</v>
      </c>
      <c r="P19" s="1">
        <v>3602.0377441545143</v>
      </c>
      <c r="Q19" s="5">
        <f>2*60+20+90</f>
        <v>230</v>
      </c>
      <c r="R19" s="1">
        <v>331.4121037463977</v>
      </c>
      <c r="S19" s="1">
        <v>3933.449847900912</v>
      </c>
      <c r="T19">
        <f>8*60+10+100</f>
        <v>590</v>
      </c>
      <c r="U19" s="1">
        <v>846.4849354375896</v>
      </c>
      <c r="V19" s="1">
        <f t="shared" si="2"/>
        <v>4779.934783338502</v>
      </c>
    </row>
    <row r="20" spans="1:22" ht="12.75">
      <c r="A20" t="s">
        <v>84</v>
      </c>
      <c r="B20" t="s">
        <v>11</v>
      </c>
      <c r="C20" t="s">
        <v>58</v>
      </c>
      <c r="D20">
        <v>380</v>
      </c>
      <c r="E20" s="1">
        <v>543.6337625178827</v>
      </c>
      <c r="F20" s="5">
        <f>10*60-5+65</f>
        <v>660</v>
      </c>
      <c r="G20" s="1">
        <v>945.5587392550143</v>
      </c>
      <c r="H20" s="1">
        <v>1489.192501772897</v>
      </c>
      <c r="I20" s="5">
        <f>10*60-1+90</f>
        <v>689</v>
      </c>
      <c r="J20" s="1">
        <v>984.2857142857143</v>
      </c>
      <c r="K20" s="1">
        <v>2473.4782160586115</v>
      </c>
      <c r="L20" s="5">
        <f>6*60+41+75</f>
        <v>476</v>
      </c>
      <c r="M20" s="1">
        <v>685.8789625360231</v>
      </c>
      <c r="N20" s="5">
        <f>5*60+3+100</f>
        <v>403</v>
      </c>
      <c r="O20" s="1" t="e">
        <f>N20/$N$22*1000</f>
        <v>#DIV/0!</v>
      </c>
      <c r="P20" s="1">
        <v>3159.3571785946347</v>
      </c>
      <c r="Q20" s="5">
        <f>5*60+16+60</f>
        <v>376</v>
      </c>
      <c r="R20" s="1">
        <v>545.7184325108853</v>
      </c>
      <c r="S20" s="1">
        <v>3705.07561110552</v>
      </c>
      <c r="T20">
        <f>9*60+57+100</f>
        <v>697</v>
      </c>
      <c r="U20" s="1">
        <v>1000</v>
      </c>
      <c r="V20" s="1">
        <f t="shared" si="2"/>
        <v>4705.07561110552</v>
      </c>
    </row>
    <row r="21" spans="1:22" ht="12.75">
      <c r="A21" t="s">
        <v>85</v>
      </c>
      <c r="B21" t="s">
        <v>23</v>
      </c>
      <c r="C21" t="s">
        <v>59</v>
      </c>
      <c r="D21" s="5">
        <f>9*60+57+95</f>
        <v>692</v>
      </c>
      <c r="E21" s="1">
        <v>989.9856938483548</v>
      </c>
      <c r="F21" s="5">
        <f>10*60-1+90</f>
        <v>689</v>
      </c>
      <c r="G21" s="1">
        <v>1000</v>
      </c>
      <c r="H21" s="1">
        <v>1989.985693848355</v>
      </c>
      <c r="I21" s="5">
        <f>2*60+54+90</f>
        <v>264</v>
      </c>
      <c r="J21" s="1">
        <v>452.05479452054794</v>
      </c>
      <c r="K21" s="1">
        <v>2442.040488368903</v>
      </c>
      <c r="L21" s="5">
        <f>8*60+9+90</f>
        <v>579</v>
      </c>
      <c r="M21" s="1">
        <v>834.2939481268012</v>
      </c>
      <c r="N21" s="5">
        <f>5*60+54+100</f>
        <v>454</v>
      </c>
      <c r="O21" s="1" t="e">
        <f>N21/$N$22*1000</f>
        <v>#DIV/0!</v>
      </c>
      <c r="P21" s="1">
        <v>3276.3344364957043</v>
      </c>
      <c r="Q21" s="5">
        <f>5*60+26+100</f>
        <v>426</v>
      </c>
      <c r="R21" s="1">
        <v>618.2873730043541</v>
      </c>
      <c r="S21" s="1">
        <v>3894.6218095000586</v>
      </c>
      <c r="T21">
        <f>7*60+31+90</f>
        <v>541</v>
      </c>
      <c r="U21" s="1">
        <v>776.183644189383</v>
      </c>
      <c r="V21" s="1">
        <f t="shared" si="2"/>
        <v>4670.8054536894415</v>
      </c>
    </row>
    <row r="22" spans="1:22" ht="12.75">
      <c r="A22" t="s">
        <v>86</v>
      </c>
      <c r="B22" t="s">
        <v>20</v>
      </c>
      <c r="C22" t="s">
        <v>60</v>
      </c>
      <c r="D22">
        <v>518</v>
      </c>
      <c r="E22" s="1">
        <v>741.0586552217453</v>
      </c>
      <c r="F22" s="5">
        <f>9*60+57+55</f>
        <v>652</v>
      </c>
      <c r="G22" s="1">
        <v>934.0974212034384</v>
      </c>
      <c r="H22" s="1">
        <v>1675.1560764251838</v>
      </c>
      <c r="I22" s="5">
        <f>10*60-5+95</f>
        <v>690</v>
      </c>
      <c r="J22" s="1">
        <v>985.7142857142858</v>
      </c>
      <c r="K22" s="1">
        <v>2660.8703621394698</v>
      </c>
      <c r="L22" s="5">
        <f>9*60+56+75</f>
        <v>671</v>
      </c>
      <c r="M22" s="1">
        <v>959.9427753934192</v>
      </c>
      <c r="P22" s="1">
        <v>3620.813137532889</v>
      </c>
      <c r="Q22" s="5">
        <f>2*60+40+35</f>
        <v>195</v>
      </c>
      <c r="R22" s="1">
        <v>280.97982708933716</v>
      </c>
      <c r="S22" s="1">
        <v>3901.792964622226</v>
      </c>
      <c r="T22">
        <f>3*60+34+95</f>
        <v>309</v>
      </c>
      <c r="U22" s="1">
        <v>443.32855093256813</v>
      </c>
      <c r="V22" s="1">
        <f t="shared" si="2"/>
        <v>4345.121515554794</v>
      </c>
    </row>
    <row r="23" spans="1:22" ht="12.75">
      <c r="A23" t="s">
        <v>87</v>
      </c>
      <c r="B23" t="s">
        <v>61</v>
      </c>
      <c r="C23" t="s">
        <v>43</v>
      </c>
      <c r="D23" s="5">
        <f>8*60+45+35</f>
        <v>560</v>
      </c>
      <c r="E23" s="1">
        <v>805.7553956834532</v>
      </c>
      <c r="F23" s="5">
        <v>0</v>
      </c>
      <c r="G23" s="1">
        <v>0</v>
      </c>
      <c r="H23" s="1">
        <v>805.7553956834532</v>
      </c>
      <c r="I23" s="5">
        <f>2*60+30+0</f>
        <v>150</v>
      </c>
      <c r="J23" s="1">
        <v>214.28571428571428</v>
      </c>
      <c r="K23" s="1">
        <v>1020.0411099691676</v>
      </c>
      <c r="L23" s="5">
        <v>0</v>
      </c>
      <c r="M23" s="1">
        <v>0</v>
      </c>
      <c r="N23" s="5">
        <f>5*60+38</f>
        <v>338</v>
      </c>
      <c r="O23" s="1">
        <f>N23/$N$21*1000</f>
        <v>744.4933920704846</v>
      </c>
      <c r="P23" s="1">
        <f>744.49+214.29+805.76</f>
        <v>1764.54</v>
      </c>
      <c r="Q23" s="5">
        <f>6*60+11+95</f>
        <v>466</v>
      </c>
      <c r="R23" s="1">
        <v>676.3425253991292</v>
      </c>
      <c r="S23" s="1">
        <f>P23+R23</f>
        <v>2440.882525399129</v>
      </c>
      <c r="T23">
        <f>10*60-1+0</f>
        <v>599</v>
      </c>
      <c r="U23" s="1">
        <v>859.3974175035868</v>
      </c>
      <c r="V23" s="1">
        <f t="shared" si="2"/>
        <v>3300.279942902716</v>
      </c>
    </row>
    <row r="24" ht="12.75">
      <c r="E24" s="1"/>
    </row>
    <row r="25" ht="12.75">
      <c r="E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9" sqref="A19"/>
    </sheetView>
  </sheetViews>
  <sheetFormatPr defaultColWidth="9.140625" defaultRowHeight="12.75"/>
  <cols>
    <col min="2" max="2" width="16.8515625" style="0" customWidth="1"/>
    <col min="5" max="5" width="14.28125" style="0" customWidth="1"/>
    <col min="8" max="8" width="22.28125" style="0" customWidth="1"/>
  </cols>
  <sheetData>
    <row r="1" spans="2:4" ht="12.75">
      <c r="B1" s="2" t="s">
        <v>31</v>
      </c>
      <c r="D1" s="1"/>
    </row>
    <row r="2" ht="13.5" thickBot="1">
      <c r="D2" s="1"/>
    </row>
    <row r="3" spans="2:10" ht="12.75">
      <c r="B3" s="12" t="s">
        <v>32</v>
      </c>
      <c r="C3" s="13">
        <v>22</v>
      </c>
      <c r="D3" s="14">
        <v>1000</v>
      </c>
      <c r="E3" s="12" t="s">
        <v>13</v>
      </c>
      <c r="F3" s="13">
        <v>20</v>
      </c>
      <c r="G3" s="14">
        <v>1000</v>
      </c>
      <c r="H3" s="12" t="s">
        <v>32</v>
      </c>
      <c r="I3" s="13">
        <v>18</v>
      </c>
      <c r="J3" s="14">
        <v>1000</v>
      </c>
    </row>
    <row r="4" spans="2:10" ht="13.5" thickBot="1">
      <c r="B4" s="15" t="s">
        <v>25</v>
      </c>
      <c r="C4" s="16">
        <v>21</v>
      </c>
      <c r="D4" s="17">
        <f>21/22*1000</f>
        <v>954.5454545454546</v>
      </c>
      <c r="E4" s="15" t="s">
        <v>19</v>
      </c>
      <c r="F4" s="16">
        <v>19</v>
      </c>
      <c r="G4" s="17">
        <f>19/20*1000</f>
        <v>950</v>
      </c>
      <c r="H4" s="15" t="s">
        <v>14</v>
      </c>
      <c r="I4" s="16">
        <v>16</v>
      </c>
      <c r="J4" s="17">
        <f>16/18*1000</f>
        <v>888.8888888888888</v>
      </c>
    </row>
    <row r="5" spans="2:10" ht="12.75">
      <c r="B5" s="10" t="s">
        <v>13</v>
      </c>
      <c r="C5" s="8">
        <v>14</v>
      </c>
      <c r="D5" s="11">
        <v>1000</v>
      </c>
      <c r="E5" s="12" t="s">
        <v>19</v>
      </c>
      <c r="F5" s="13">
        <v>24</v>
      </c>
      <c r="G5" s="14">
        <f>24/25*1000</f>
        <v>960</v>
      </c>
      <c r="H5" s="12" t="s">
        <v>32</v>
      </c>
      <c r="I5" s="13">
        <v>18</v>
      </c>
      <c r="J5" s="14">
        <f>18/20*1000</f>
        <v>900</v>
      </c>
    </row>
    <row r="6" spans="2:10" ht="13.5" thickBot="1">
      <c r="B6" s="10" t="s">
        <v>25</v>
      </c>
      <c r="C6" s="8">
        <v>14</v>
      </c>
      <c r="D6" s="11">
        <v>1000</v>
      </c>
      <c r="E6" s="15" t="s">
        <v>14</v>
      </c>
      <c r="F6" s="18">
        <v>25</v>
      </c>
      <c r="G6" s="17">
        <v>1000</v>
      </c>
      <c r="H6" s="15" t="s">
        <v>33</v>
      </c>
      <c r="I6" s="16">
        <v>20</v>
      </c>
      <c r="J6" s="17">
        <v>1000</v>
      </c>
    </row>
    <row r="7" spans="2:10" ht="12.75">
      <c r="B7" s="12" t="s">
        <v>13</v>
      </c>
      <c r="C7" s="13">
        <v>30</v>
      </c>
      <c r="D7" s="14">
        <v>1000</v>
      </c>
      <c r="E7" s="12" t="s">
        <v>33</v>
      </c>
      <c r="F7" s="13">
        <v>12</v>
      </c>
      <c r="G7" s="14">
        <f>12/14*1000</f>
        <v>857.1428571428571</v>
      </c>
      <c r="H7" s="12" t="s">
        <v>19</v>
      </c>
      <c r="I7" s="13">
        <v>9</v>
      </c>
      <c r="J7" s="14">
        <f>9/14*1000</f>
        <v>642.8571428571429</v>
      </c>
    </row>
    <row r="8" spans="2:10" ht="13.5" thickBot="1">
      <c r="B8" s="15" t="s">
        <v>14</v>
      </c>
      <c r="C8" s="18">
        <v>25</v>
      </c>
      <c r="D8" s="17">
        <f>25/30*1000</f>
        <v>833.3333333333334</v>
      </c>
      <c r="E8" s="15" t="s">
        <v>25</v>
      </c>
      <c r="F8" s="16">
        <v>14</v>
      </c>
      <c r="G8" s="17">
        <v>1000</v>
      </c>
      <c r="H8" s="15" t="s">
        <v>32</v>
      </c>
      <c r="I8" s="16">
        <v>14</v>
      </c>
      <c r="J8" s="17">
        <v>1000</v>
      </c>
    </row>
    <row r="9" spans="2:10" ht="12.75">
      <c r="B9" s="12" t="s">
        <v>33</v>
      </c>
      <c r="C9" s="13">
        <v>26</v>
      </c>
      <c r="D9" s="14">
        <v>1000</v>
      </c>
      <c r="E9" s="12" t="s">
        <v>25</v>
      </c>
      <c r="F9" s="13">
        <v>21</v>
      </c>
      <c r="G9" s="14">
        <v>1000</v>
      </c>
      <c r="H9" s="12" t="s">
        <v>19</v>
      </c>
      <c r="I9" s="19">
        <v>18</v>
      </c>
      <c r="J9" s="14">
        <f>18/19*1000</f>
        <v>947.3684210526316</v>
      </c>
    </row>
    <row r="10" spans="2:10" ht="13.5" thickBot="1">
      <c r="B10" s="15" t="s">
        <v>13</v>
      </c>
      <c r="C10" s="16">
        <v>24</v>
      </c>
      <c r="D10" s="17">
        <f>24/26*1000</f>
        <v>923.0769230769231</v>
      </c>
      <c r="E10" s="15" t="s">
        <v>14</v>
      </c>
      <c r="F10" s="16">
        <v>18</v>
      </c>
      <c r="G10" s="17">
        <f>18/21*1000</f>
        <v>857.1428571428571</v>
      </c>
      <c r="H10" s="15" t="s">
        <v>33</v>
      </c>
      <c r="I10" s="16">
        <v>19</v>
      </c>
      <c r="J10" s="17">
        <v>1000</v>
      </c>
    </row>
    <row r="11" ht="12.75">
      <c r="D11" s="9"/>
    </row>
    <row r="12" spans="1:7" ht="12.75">
      <c r="A12" t="s">
        <v>62</v>
      </c>
      <c r="C12" t="s">
        <v>34</v>
      </c>
      <c r="D12" s="9" t="s">
        <v>35</v>
      </c>
      <c r="E12" t="s">
        <v>36</v>
      </c>
      <c r="F12" t="s">
        <v>37</v>
      </c>
      <c r="G12" t="s">
        <v>38</v>
      </c>
    </row>
    <row r="13" spans="1:7" ht="12.75">
      <c r="A13" t="s">
        <v>63</v>
      </c>
      <c r="B13" t="s">
        <v>25</v>
      </c>
      <c r="C13" s="9">
        <v>954.5</v>
      </c>
      <c r="D13" s="9">
        <v>1000</v>
      </c>
      <c r="E13" s="9">
        <v>1000</v>
      </c>
      <c r="F13" s="9">
        <v>1000</v>
      </c>
      <c r="G13" s="9">
        <f>SUM(C13:F13)</f>
        <v>3954.5</v>
      </c>
    </row>
    <row r="14" spans="1:7" ht="12.75">
      <c r="A14" t="s">
        <v>64</v>
      </c>
      <c r="B14" t="s">
        <v>13</v>
      </c>
      <c r="C14" s="9">
        <v>1000</v>
      </c>
      <c r="D14" s="9">
        <v>1000</v>
      </c>
      <c r="E14" s="9">
        <v>1000</v>
      </c>
      <c r="F14" s="9">
        <v>923.1</v>
      </c>
      <c r="G14" s="9">
        <f>SUM(C14:F14)</f>
        <v>3923.1</v>
      </c>
    </row>
    <row r="15" spans="1:7" ht="12.75">
      <c r="A15" t="s">
        <v>65</v>
      </c>
      <c r="B15" t="s">
        <v>32</v>
      </c>
      <c r="C15" s="9">
        <v>1000</v>
      </c>
      <c r="D15" s="9">
        <v>1000</v>
      </c>
      <c r="E15" s="9">
        <v>900</v>
      </c>
      <c r="F15" s="9">
        <v>1000</v>
      </c>
      <c r="G15" s="9">
        <v>3900</v>
      </c>
    </row>
    <row r="16" spans="1:7" ht="12.75">
      <c r="A16" t="s">
        <v>66</v>
      </c>
      <c r="B16" t="s">
        <v>33</v>
      </c>
      <c r="C16" s="9">
        <v>1000</v>
      </c>
      <c r="D16" s="9">
        <v>857.1</v>
      </c>
      <c r="E16" s="9">
        <v>1000</v>
      </c>
      <c r="F16" s="9">
        <v>1000</v>
      </c>
      <c r="G16" s="9">
        <f>SUM(C16:F16)</f>
        <v>3857.1</v>
      </c>
    </row>
    <row r="17" spans="1:7" ht="12.75">
      <c r="A17" t="s">
        <v>67</v>
      </c>
      <c r="B17" t="s">
        <v>14</v>
      </c>
      <c r="C17" s="9">
        <v>888.9</v>
      </c>
      <c r="D17" s="9">
        <v>1000</v>
      </c>
      <c r="E17" s="9">
        <v>833.3</v>
      </c>
      <c r="F17" s="9">
        <v>857.1</v>
      </c>
      <c r="G17" s="9">
        <f>SUM(C17:F17)</f>
        <v>3579.2999999999997</v>
      </c>
    </row>
    <row r="18" spans="1:7" ht="12.75">
      <c r="A18" t="s">
        <v>68</v>
      </c>
      <c r="B18" t="s">
        <v>19</v>
      </c>
      <c r="C18" s="9">
        <v>950</v>
      </c>
      <c r="D18" s="9">
        <v>960</v>
      </c>
      <c r="E18" s="9">
        <v>642.9</v>
      </c>
      <c r="F18" s="9">
        <v>947.4</v>
      </c>
      <c r="G18" s="9">
        <f>SUM(C18:F18)</f>
        <v>3500.3</v>
      </c>
    </row>
    <row r="20" ht="12.75">
      <c r="D20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M4" sqref="M4"/>
    </sheetView>
  </sheetViews>
  <sheetFormatPr defaultColWidth="9.140625" defaultRowHeight="12.75"/>
  <cols>
    <col min="1" max="1" width="16.00390625" style="0" customWidth="1"/>
    <col min="3" max="3" width="9.421875" style="0" customWidth="1"/>
  </cols>
  <sheetData>
    <row r="1" ht="12.75">
      <c r="A1" s="2" t="s">
        <v>39</v>
      </c>
    </row>
    <row r="2" spans="2:11" ht="12.7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ht="12.75">
      <c r="A3" s="20">
        <v>41055</v>
      </c>
    </row>
    <row r="4" spans="1:6" ht="12.75">
      <c r="A4" t="s">
        <v>61</v>
      </c>
      <c r="B4">
        <v>20.86</v>
      </c>
      <c r="C4">
        <v>20.14</v>
      </c>
      <c r="D4">
        <v>18.84</v>
      </c>
      <c r="E4">
        <v>20.63</v>
      </c>
      <c r="F4" t="s">
        <v>42</v>
      </c>
    </row>
    <row r="5" spans="1:10" ht="12.75">
      <c r="A5" t="s">
        <v>25</v>
      </c>
      <c r="B5">
        <v>16.8</v>
      </c>
      <c r="C5">
        <v>22.08</v>
      </c>
      <c r="D5">
        <v>17.27</v>
      </c>
      <c r="E5">
        <v>18.41</v>
      </c>
      <c r="F5">
        <v>17.33</v>
      </c>
      <c r="G5">
        <v>17.87</v>
      </c>
      <c r="H5">
        <v>17.15</v>
      </c>
      <c r="I5">
        <v>17.66</v>
      </c>
      <c r="J5">
        <v>17.15</v>
      </c>
    </row>
    <row r="6" spans="1:6" ht="12.75">
      <c r="A6" t="s">
        <v>19</v>
      </c>
      <c r="B6">
        <v>22.48</v>
      </c>
      <c r="C6">
        <v>21.58</v>
      </c>
      <c r="D6">
        <v>22.01</v>
      </c>
      <c r="E6">
        <v>26</v>
      </c>
      <c r="F6" t="s">
        <v>42</v>
      </c>
    </row>
    <row r="7" spans="1:6" ht="12.75">
      <c r="A7" t="s">
        <v>8</v>
      </c>
      <c r="B7">
        <v>29.32</v>
      </c>
      <c r="C7">
        <v>20.41</v>
      </c>
      <c r="D7">
        <v>21.95</v>
      </c>
      <c r="E7">
        <v>22.93</v>
      </c>
      <c r="F7" t="s">
        <v>42</v>
      </c>
    </row>
    <row r="8" spans="1:10" ht="12.75">
      <c r="A8" t="s">
        <v>21</v>
      </c>
      <c r="B8">
        <v>19.1</v>
      </c>
      <c r="C8">
        <v>19.97</v>
      </c>
      <c r="D8">
        <v>20.2</v>
      </c>
      <c r="E8">
        <v>20.55</v>
      </c>
      <c r="F8">
        <v>19.74</v>
      </c>
      <c r="G8">
        <v>21.13</v>
      </c>
      <c r="H8">
        <v>21.2</v>
      </c>
      <c r="I8">
        <v>19.89</v>
      </c>
      <c r="J8">
        <v>19.34</v>
      </c>
    </row>
    <row r="9" spans="1:10" ht="12.75">
      <c r="A9" t="s">
        <v>32</v>
      </c>
      <c r="B9">
        <v>19.16</v>
      </c>
      <c r="C9">
        <v>18.68</v>
      </c>
      <c r="D9">
        <v>18.39</v>
      </c>
      <c r="E9">
        <v>16.75</v>
      </c>
      <c r="F9">
        <v>18.19</v>
      </c>
      <c r="G9">
        <v>16.24</v>
      </c>
      <c r="H9">
        <v>17.91</v>
      </c>
      <c r="I9">
        <v>17.45</v>
      </c>
      <c r="J9">
        <v>17.15</v>
      </c>
    </row>
    <row r="10" spans="1:6" ht="12.75">
      <c r="A10" t="s">
        <v>17</v>
      </c>
      <c r="B10">
        <v>22.94</v>
      </c>
      <c r="C10">
        <v>24.96</v>
      </c>
      <c r="D10">
        <v>19.31</v>
      </c>
      <c r="E10">
        <v>20.09</v>
      </c>
      <c r="F10" t="s">
        <v>42</v>
      </c>
    </row>
    <row r="11" spans="1:9" ht="12.75">
      <c r="A11" t="s">
        <v>14</v>
      </c>
      <c r="B11">
        <v>16.63</v>
      </c>
      <c r="C11">
        <v>26.91</v>
      </c>
      <c r="D11">
        <v>17.84</v>
      </c>
      <c r="E11">
        <v>19.83</v>
      </c>
      <c r="F11">
        <v>24.19</v>
      </c>
      <c r="G11">
        <v>16.67</v>
      </c>
      <c r="H11">
        <v>20.45</v>
      </c>
      <c r="I11">
        <v>24.03</v>
      </c>
    </row>
    <row r="12" spans="1:5" ht="12.75">
      <c r="A12" t="s">
        <v>13</v>
      </c>
      <c r="B12">
        <v>0</v>
      </c>
      <c r="C12">
        <v>18.94</v>
      </c>
      <c r="D12">
        <v>21.56</v>
      </c>
      <c r="E12">
        <v>22.58</v>
      </c>
    </row>
    <row r="16" ht="12.75">
      <c r="A16" s="20">
        <v>41056</v>
      </c>
    </row>
    <row r="17" spans="1:9" ht="12.75">
      <c r="A17" t="s">
        <v>25</v>
      </c>
      <c r="B17">
        <v>15.8</v>
      </c>
      <c r="C17">
        <v>17.43</v>
      </c>
      <c r="D17">
        <v>17.12</v>
      </c>
      <c r="E17">
        <v>17.89</v>
      </c>
      <c r="F17">
        <v>18.97</v>
      </c>
      <c r="G17">
        <v>16.86</v>
      </c>
      <c r="H17">
        <v>14.53</v>
      </c>
      <c r="I17">
        <v>14.04</v>
      </c>
    </row>
    <row r="18" spans="1:2" ht="12.75">
      <c r="A18" t="s">
        <v>13</v>
      </c>
      <c r="B18">
        <v>18.11</v>
      </c>
    </row>
    <row r="19" spans="1:8" ht="12.75">
      <c r="A19" t="s">
        <v>32</v>
      </c>
      <c r="B19">
        <v>16.09</v>
      </c>
      <c r="C19">
        <v>19.57</v>
      </c>
      <c r="D19">
        <v>17.11</v>
      </c>
      <c r="E19">
        <v>16.57</v>
      </c>
      <c r="F19">
        <v>16.92</v>
      </c>
      <c r="G19">
        <v>17.24</v>
      </c>
      <c r="H19">
        <v>17.53</v>
      </c>
    </row>
    <row r="20" spans="1:11" ht="12.75">
      <c r="A20" t="s">
        <v>33</v>
      </c>
      <c r="B20">
        <v>15.42</v>
      </c>
      <c r="C20">
        <v>17.17</v>
      </c>
      <c r="D20">
        <v>16.83</v>
      </c>
      <c r="E20">
        <v>16.62</v>
      </c>
      <c r="F20">
        <v>21.1</v>
      </c>
      <c r="G20">
        <v>15.35</v>
      </c>
      <c r="H20">
        <v>14.29</v>
      </c>
      <c r="I20">
        <v>14.92</v>
      </c>
      <c r="J20">
        <v>15.9</v>
      </c>
      <c r="K20">
        <v>15.2</v>
      </c>
    </row>
    <row r="21" spans="1:9" ht="12.75">
      <c r="A21" t="s">
        <v>14</v>
      </c>
      <c r="B21">
        <v>15.73</v>
      </c>
      <c r="C21">
        <v>17.79</v>
      </c>
      <c r="D21">
        <v>22.82</v>
      </c>
      <c r="E21">
        <v>17.03</v>
      </c>
      <c r="F21">
        <v>16.18</v>
      </c>
      <c r="G21">
        <v>17.25</v>
      </c>
      <c r="H21">
        <v>15.39</v>
      </c>
      <c r="I21">
        <v>25.66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2012-05-01T17:36:23Z</dcterms:created>
  <dcterms:modified xsi:type="dcterms:W3CDTF">2012-05-27T17:19:00Z</dcterms:modified>
  <cp:category/>
  <cp:version/>
  <cp:contentType/>
  <cp:contentStatus/>
</cp:coreProperties>
</file>